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shmtn_lansys_mhlw_go_jp/Documents/PassageDrive/PCfolder/Desktop/HP掲載用/"/>
    </mc:Choice>
  </mc:AlternateContent>
  <xr:revisionPtr revIDLastSave="655" documentId="8_{6727E811-3289-4D52-8A6D-DD8FB6F75130}" xr6:coauthVersionLast="47" xr6:coauthVersionMax="47" xr10:uidLastSave="{6DD59937-25D3-4CE8-9091-A0B4C4DD4822}"/>
  <bookViews>
    <workbookView xWindow="2868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 i="26" l="1"/>
  <c r="Y6" i="26" s="1"/>
  <c r="Y8" i="26"/>
  <c r="Y7" i="26"/>
  <c r="N6" i="26"/>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<sst xmlns="http://schemas.openxmlformats.org/spreadsheetml/2006/main" count="4777" uniqueCount="2262">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</sst>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t="s">
        <v>9</v>
      </c>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17" t="s">
        <v>13</v>
      </c>
      <c r="D22" s="517"/>
      <c r="E22" s="517"/>
      <c r="F22" s="517"/>
      <c r="G22" s="517"/>
      <c r="H22" s="517"/>
      <c r="I22" s="517"/>
      <c r="J22" s="517"/>
      <c r="K22" s="517"/>
      <c r="L22" s="518"/>
      <c r="M22" s="556" t="s">
        <v>14</v>
      </c>
      <c r="N22" s="557"/>
      <c r="O22" s="557"/>
      <c r="P22" s="557"/>
      <c r="Q22" s="557"/>
      <c r="R22" s="557"/>
      <c r="S22" s="557"/>
      <c r="T22" s="557"/>
      <c r="U22" s="557"/>
      <c r="V22" s="557"/>
      <c r="W22" s="558"/>
      <c r="X22" s="559"/>
      <c r="Y22" s="134"/>
      <c r="Z22" s="134"/>
      <c r="AA22" s="134"/>
    </row>
    <row r="23" spans="1:31" ht="20.100000000000001" customHeight="1" thickBot="1">
      <c r="A23" s="134"/>
      <c r="B23" s="139"/>
      <c r="C23" s="517" t="s">
        <v>15</v>
      </c>
      <c r="D23" s="517"/>
      <c r="E23" s="517"/>
      <c r="F23" s="517"/>
      <c r="G23" s="517"/>
      <c r="H23" s="517"/>
      <c r="I23" s="517"/>
      <c r="J23" s="517"/>
      <c r="K23" s="517"/>
      <c r="L23" s="518"/>
      <c r="M23" s="519" t="s">
        <v>14</v>
      </c>
      <c r="N23" s="520"/>
      <c r="O23" s="520"/>
      <c r="P23" s="520"/>
      <c r="Q23" s="520"/>
      <c r="R23" s="520"/>
      <c r="S23" s="520"/>
      <c r="T23" s="520"/>
      <c r="U23" s="524"/>
      <c r="V23" s="524"/>
      <c r="W23" s="525"/>
      <c r="X23" s="526"/>
      <c r="Y23" s="134"/>
      <c r="Z23" s="134"/>
      <c r="AA23" s="134"/>
      <c r="AC23" s="130" t="s">
        <v>16</v>
      </c>
    </row>
    <row r="24" spans="1:31" ht="20.100000000000001" customHeight="1" thickBot="1">
      <c r="A24" s="134"/>
      <c r="B24" s="138" t="s">
        <v>17</v>
      </c>
      <c r="C24" s="517" t="s">
        <v>18</v>
      </c>
      <c r="D24" s="517"/>
      <c r="E24" s="517"/>
      <c r="F24" s="517"/>
      <c r="G24" s="517"/>
      <c r="H24" s="517"/>
      <c r="I24" s="517"/>
      <c r="J24" s="517"/>
      <c r="K24" s="517"/>
      <c r="L24" s="518"/>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17" t="s">
        <v>20</v>
      </c>
      <c r="D25" s="517"/>
      <c r="E25" s="517"/>
      <c r="F25" s="517"/>
      <c r="G25" s="517"/>
      <c r="H25" s="517"/>
      <c r="I25" s="517"/>
      <c r="J25" s="517"/>
      <c r="K25" s="517"/>
      <c r="L25" s="518"/>
      <c r="M25" s="519" t="s">
        <v>2203</v>
      </c>
      <c r="N25" s="520"/>
      <c r="O25" s="520"/>
      <c r="P25" s="520"/>
      <c r="Q25" s="520"/>
      <c r="R25" s="520"/>
      <c r="S25" s="520"/>
      <c r="T25" s="520"/>
      <c r="U25" s="521"/>
      <c r="V25" s="521"/>
      <c r="W25" s="522"/>
      <c r="X25" s="523"/>
      <c r="Y25" s="134"/>
      <c r="Z25" s="134"/>
      <c r="AA25" s="134"/>
    </row>
    <row r="26" spans="1:31" ht="20.100000000000001" customHeight="1">
      <c r="A26" s="134"/>
      <c r="B26" s="139"/>
      <c r="C26" s="517" t="s">
        <v>21</v>
      </c>
      <c r="D26" s="517"/>
      <c r="E26" s="517"/>
      <c r="F26" s="517"/>
      <c r="G26" s="517"/>
      <c r="H26" s="517"/>
      <c r="I26" s="517"/>
      <c r="J26" s="517"/>
      <c r="K26" s="517"/>
      <c r="L26" s="518"/>
      <c r="M26" s="519" t="s">
        <v>22</v>
      </c>
      <c r="N26" s="520"/>
      <c r="O26" s="520"/>
      <c r="P26" s="520"/>
      <c r="Q26" s="520"/>
      <c r="R26" s="520"/>
      <c r="S26" s="520"/>
      <c r="T26" s="520"/>
      <c r="U26" s="520"/>
      <c r="V26" s="520"/>
      <c r="W26" s="550"/>
      <c r="X26" s="551"/>
      <c r="Y26" s="134"/>
      <c r="Z26" s="134"/>
      <c r="AA26" s="134"/>
    </row>
    <row r="27" spans="1:31" ht="20.100000000000001" customHeight="1">
      <c r="A27" s="134"/>
      <c r="B27" s="138" t="s">
        <v>23</v>
      </c>
      <c r="C27" s="517" t="s">
        <v>24</v>
      </c>
      <c r="D27" s="517"/>
      <c r="E27" s="517"/>
      <c r="F27" s="517"/>
      <c r="G27" s="517"/>
      <c r="H27" s="517"/>
      <c r="I27" s="517"/>
      <c r="J27" s="517"/>
      <c r="K27" s="517"/>
      <c r="L27" s="518"/>
      <c r="M27" s="519" t="s">
        <v>25</v>
      </c>
      <c r="N27" s="520"/>
      <c r="O27" s="520"/>
      <c r="P27" s="520"/>
      <c r="Q27" s="520"/>
      <c r="R27" s="520"/>
      <c r="S27" s="520"/>
      <c r="T27" s="520"/>
      <c r="U27" s="520"/>
      <c r="V27" s="520"/>
      <c r="W27" s="550"/>
      <c r="X27" s="551"/>
      <c r="Y27" s="134"/>
      <c r="Z27" s="134"/>
      <c r="AA27" s="134"/>
    </row>
    <row r="28" spans="1:31" ht="20.100000000000001" customHeight="1">
      <c r="A28" s="134"/>
      <c r="B28" s="139"/>
      <c r="C28" s="517" t="s">
        <v>26</v>
      </c>
      <c r="D28" s="517"/>
      <c r="E28" s="517"/>
      <c r="F28" s="517"/>
      <c r="G28" s="517"/>
      <c r="H28" s="517"/>
      <c r="I28" s="517"/>
      <c r="J28" s="517"/>
      <c r="K28" s="517"/>
      <c r="L28" s="518"/>
      <c r="M28" s="547" t="s">
        <v>27</v>
      </c>
      <c r="N28" s="524"/>
      <c r="O28" s="524"/>
      <c r="P28" s="524"/>
      <c r="Q28" s="524"/>
      <c r="R28" s="524"/>
      <c r="S28" s="524"/>
      <c r="T28" s="524"/>
      <c r="U28" s="524"/>
      <c r="V28" s="524"/>
      <c r="W28" s="525"/>
      <c r="X28" s="526"/>
      <c r="Y28" s="134"/>
      <c r="Z28" s="134"/>
      <c r="AA28" s="134"/>
    </row>
    <row r="29" spans="1:31" ht="20.100000000000001" customHeight="1">
      <c r="A29" s="134"/>
      <c r="B29" s="548" t="s">
        <v>28</v>
      </c>
      <c r="C29" s="517" t="s">
        <v>13</v>
      </c>
      <c r="D29" s="517"/>
      <c r="E29" s="517"/>
      <c r="F29" s="517"/>
      <c r="G29" s="517"/>
      <c r="H29" s="517"/>
      <c r="I29" s="517"/>
      <c r="J29" s="517"/>
      <c r="K29" s="517"/>
      <c r="L29" s="518"/>
      <c r="M29" s="519" t="s">
        <v>29</v>
      </c>
      <c r="N29" s="520"/>
      <c r="O29" s="520"/>
      <c r="P29" s="520"/>
      <c r="Q29" s="520"/>
      <c r="R29" s="520"/>
      <c r="S29" s="520"/>
      <c r="T29" s="520"/>
      <c r="U29" s="520"/>
      <c r="V29" s="520"/>
      <c r="W29" s="550"/>
      <c r="X29" s="551"/>
      <c r="Y29" s="134"/>
      <c r="Z29" s="134"/>
      <c r="AA29" s="134"/>
    </row>
    <row r="30" spans="1:31" ht="20.100000000000001" customHeight="1">
      <c r="A30" s="134"/>
      <c r="B30" s="549"/>
      <c r="C30" s="552" t="s">
        <v>26</v>
      </c>
      <c r="D30" s="552"/>
      <c r="E30" s="552"/>
      <c r="F30" s="552"/>
      <c r="G30" s="552"/>
      <c r="H30" s="552"/>
      <c r="I30" s="552"/>
      <c r="J30" s="552"/>
      <c r="K30" s="552"/>
      <c r="L30" s="552"/>
      <c r="M30" s="519" t="s">
        <v>30</v>
      </c>
      <c r="N30" s="520"/>
      <c r="O30" s="520"/>
      <c r="P30" s="520"/>
      <c r="Q30" s="520"/>
      <c r="R30" s="520"/>
      <c r="S30" s="520"/>
      <c r="T30" s="520"/>
      <c r="U30" s="520"/>
      <c r="V30" s="520"/>
      <c r="W30" s="550"/>
      <c r="X30" s="551"/>
      <c r="Y30" s="134"/>
      <c r="Z30" s="134"/>
      <c r="AA30" s="134"/>
    </row>
    <row r="31" spans="1:31" ht="20.100000000000001" customHeight="1">
      <c r="A31" s="134"/>
      <c r="B31" s="138" t="s">
        <v>31</v>
      </c>
      <c r="C31" s="517" t="s">
        <v>32</v>
      </c>
      <c r="D31" s="517"/>
      <c r="E31" s="517"/>
      <c r="F31" s="517"/>
      <c r="G31" s="517"/>
      <c r="H31" s="517"/>
      <c r="I31" s="517"/>
      <c r="J31" s="517"/>
      <c r="K31" s="517"/>
      <c r="L31" s="518"/>
      <c r="M31" s="542" t="s">
        <v>33</v>
      </c>
      <c r="N31" s="521"/>
      <c r="O31" s="521"/>
      <c r="P31" s="521"/>
      <c r="Q31" s="521"/>
      <c r="R31" s="521"/>
      <c r="S31" s="521"/>
      <c r="T31" s="521"/>
      <c r="U31" s="521"/>
      <c r="V31" s="521"/>
      <c r="W31" s="522"/>
      <c r="X31" s="523"/>
      <c r="Y31" s="134"/>
      <c r="Z31" s="134"/>
      <c r="AA31" s="134"/>
    </row>
    <row r="32" spans="1:31" ht="20.100000000000001" customHeight="1" thickBot="1">
      <c r="A32" s="134"/>
      <c r="B32" s="144"/>
      <c r="C32" s="517" t="s">
        <v>34</v>
      </c>
      <c r="D32" s="517"/>
      <c r="E32" s="517"/>
      <c r="F32" s="517"/>
      <c r="G32" s="517"/>
      <c r="H32" s="517"/>
      <c r="I32" s="517"/>
      <c r="J32" s="517"/>
      <c r="K32" s="517"/>
      <c r="L32" s="518"/>
      <c r="M32" s="543" t="s">
        <v>35</v>
      </c>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38</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27">
        <f>COUNTIF($Y$45:$Y$144,"*介護予防*")</f>
        <v>2</v>
      </c>
      <c r="I38" s="527"/>
      <c r="J38" s="154" t="s">
        <v>41</v>
      </c>
      <c r="K38" s="531" t="s">
        <v>42</v>
      </c>
      <c r="L38" s="532"/>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27">
        <f>COUNTIF($Y$45:$Y$144,"*短期利用型*")</f>
        <v>1</v>
      </c>
      <c r="I39" s="527"/>
      <c r="J39" s="154" t="s">
        <v>41</v>
      </c>
      <c r="K39" s="531" t="s">
        <v>42</v>
      </c>
      <c r="L39" s="532"/>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27">
        <f>COUNTIF($Y$45:$Y$144,"*独自*")+COUNTIF($Y$45:$Y$144,"介護予防ケアマネジメント")</f>
        <v>1</v>
      </c>
      <c r="I40" s="527"/>
      <c r="J40" s="154" t="s">
        <v>41</v>
      </c>
      <c r="K40" s="531" t="s">
        <v>42</v>
      </c>
      <c r="L40" s="532"/>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27">
        <f>COUNTIF(AC45:AC144,"その他")</f>
        <v>3</v>
      </c>
      <c r="I41" s="527"/>
      <c r="J41" s="154" t="s">
        <v>41</v>
      </c>
      <c r="K41" s="533" t="s">
        <v>42</v>
      </c>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46</v>
      </c>
      <c r="C43" s="535" t="s">
        <v>47</v>
      </c>
      <c r="D43" s="535"/>
      <c r="E43" s="535"/>
      <c r="F43" s="535"/>
      <c r="G43" s="535"/>
      <c r="H43" s="535"/>
      <c r="I43" s="535"/>
      <c r="J43" s="535"/>
      <c r="K43" s="535"/>
      <c r="L43" s="535"/>
      <c r="M43" s="535" t="s">
        <v>48</v>
      </c>
      <c r="N43" s="535"/>
      <c r="O43" s="535"/>
      <c r="P43" s="535"/>
      <c r="Q43" s="535"/>
      <c r="R43" s="514" t="s">
        <v>49</v>
      </c>
      <c r="S43" s="515"/>
      <c r="T43" s="515"/>
      <c r="U43" s="515"/>
      <c r="V43" s="515"/>
      <c r="W43" s="516"/>
      <c r="X43" s="535" t="s">
        <v>50</v>
      </c>
      <c r="Y43" s="537" t="s">
        <v>51</v>
      </c>
      <c r="Z43" s="513" t="s">
        <v>52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53</v>
      </c>
      <c r="S44" s="536"/>
      <c r="T44" s="536"/>
      <c r="U44" s="536"/>
      <c r="V44" s="536"/>
      <c r="W44" s="157" t="s">
        <v>54</v>
      </c>
      <c r="X44" s="536"/>
      <c r="Y44" s="538"/>
      <c r="Z44" s="513"/>
      <c r="AA44" s="145"/>
    </row>
    <row r="45" spans="1:33" ht="33.950000000000003" customHeight="1">
      <c r="A45" s="134"/>
      <c r="B45" s="158">
        <v>1</v>
      </c>
      <c r="C45" s="571" t="s">
        <v>2186</v>
      </c>
      <c r="D45" s="572"/>
      <c r="E45" s="572"/>
      <c r="F45" s="572"/>
      <c r="G45" s="572"/>
      <c r="H45" s="572"/>
      <c r="I45" s="572"/>
      <c r="J45" s="572"/>
      <c r="K45" s="572"/>
      <c r="L45" s="573"/>
      <c r="M45" s="568" t="s">
        <v>55</v>
      </c>
      <c r="N45" s="569"/>
      <c r="O45" s="569"/>
      <c r="P45" s="569"/>
      <c r="Q45" s="570"/>
      <c r="R45" s="566" t="s">
        <v>56</v>
      </c>
      <c r="S45" s="566"/>
      <c r="T45" s="566"/>
      <c r="U45" s="566"/>
      <c r="V45" s="566"/>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60" t="s">
        <v>2187</v>
      </c>
      <c r="D46" s="561"/>
      <c r="E46" s="561"/>
      <c r="F46" s="561"/>
      <c r="G46" s="561"/>
      <c r="H46" s="561"/>
      <c r="I46" s="561"/>
      <c r="J46" s="561"/>
      <c r="K46" s="561"/>
      <c r="L46" s="562"/>
      <c r="M46" s="563" t="s">
        <v>55</v>
      </c>
      <c r="N46" s="564"/>
      <c r="O46" s="564"/>
      <c r="P46" s="564"/>
      <c r="Q46" s="565"/>
      <c r="R46" s="566" t="s">
        <v>56</v>
      </c>
      <c r="S46" s="566"/>
      <c r="T46" s="566"/>
      <c r="U46" s="566"/>
      <c r="V46" s="566"/>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60" t="s">
        <v>2188</v>
      </c>
      <c r="D47" s="561"/>
      <c r="E47" s="561"/>
      <c r="F47" s="561"/>
      <c r="G47" s="561"/>
      <c r="H47" s="561"/>
      <c r="I47" s="561"/>
      <c r="J47" s="561"/>
      <c r="K47" s="561"/>
      <c r="L47" s="562"/>
      <c r="M47" s="563" t="s">
        <v>55</v>
      </c>
      <c r="N47" s="564"/>
      <c r="O47" s="564"/>
      <c r="P47" s="564"/>
      <c r="Q47" s="565"/>
      <c r="R47" s="566" t="s">
        <v>56</v>
      </c>
      <c r="S47" s="566"/>
      <c r="T47" s="566"/>
      <c r="U47" s="566"/>
      <c r="V47" s="566"/>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60" t="s">
        <v>2200</v>
      </c>
      <c r="D48" s="561"/>
      <c r="E48" s="561"/>
      <c r="F48" s="561"/>
      <c r="G48" s="561"/>
      <c r="H48" s="561"/>
      <c r="I48" s="561"/>
      <c r="J48" s="561"/>
      <c r="K48" s="561"/>
      <c r="L48" s="562"/>
      <c r="M48" s="563" t="s">
        <v>55</v>
      </c>
      <c r="N48" s="564"/>
      <c r="O48" s="564"/>
      <c r="P48" s="564"/>
      <c r="Q48" s="565"/>
      <c r="R48" s="566" t="s">
        <v>56</v>
      </c>
      <c r="S48" s="566"/>
      <c r="T48" s="566"/>
      <c r="U48" s="566"/>
      <c r="V48" s="566"/>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60" t="s">
        <v>2201</v>
      </c>
      <c r="D49" s="561"/>
      <c r="E49" s="561"/>
      <c r="F49" s="561"/>
      <c r="G49" s="561"/>
      <c r="H49" s="561"/>
      <c r="I49" s="561"/>
      <c r="J49" s="561"/>
      <c r="K49" s="561"/>
      <c r="L49" s="562"/>
      <c r="M49" s="563" t="s">
        <v>55</v>
      </c>
      <c r="N49" s="564"/>
      <c r="O49" s="564"/>
      <c r="P49" s="564"/>
      <c r="Q49" s="565"/>
      <c r="R49" s="566" t="s">
        <v>56</v>
      </c>
      <c r="S49" s="566"/>
      <c r="T49" s="566"/>
      <c r="U49" s="566"/>
      <c r="V49" s="566"/>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60" t="s">
        <v>2202</v>
      </c>
      <c r="D50" s="561"/>
      <c r="E50" s="561"/>
      <c r="F50" s="561"/>
      <c r="G50" s="561"/>
      <c r="H50" s="561"/>
      <c r="I50" s="561"/>
      <c r="J50" s="561"/>
      <c r="K50" s="561"/>
      <c r="L50" s="562"/>
      <c r="M50" s="563" t="s">
        <v>55</v>
      </c>
      <c r="N50" s="564"/>
      <c r="O50" s="564"/>
      <c r="P50" s="564"/>
      <c r="Q50" s="565"/>
      <c r="R50" s="566" t="s">
        <v>56</v>
      </c>
      <c r="S50" s="566"/>
      <c r="T50" s="566"/>
      <c r="U50" s="566"/>
      <c r="V50" s="566"/>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15" t="s">
        <v>59</v>
      </c>
      <c r="AA1" s="715"/>
      <c r="AB1" s="715"/>
      <c r="AC1" s="715"/>
      <c r="AD1" s="715" t="str">
        <f>IF(基本情報入力シート!G18="","",基本情報入力シート!G18)</f>
        <v>東京都</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60</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13</v>
      </c>
      <c r="C6" s="735"/>
      <c r="D6" s="735"/>
      <c r="E6" s="735"/>
      <c r="F6" s="735"/>
      <c r="G6" s="735"/>
      <c r="H6" s="731" t="str">
        <f>IF(基本情報入力シート!M22="","",基本情報入力シート!M22)</f>
        <v>○○ケアサービス</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12</v>
      </c>
      <c r="C7" s="726"/>
      <c r="D7" s="726"/>
      <c r="E7" s="726"/>
      <c r="F7" s="726"/>
      <c r="G7" s="726"/>
      <c r="H7" s="736" t="str">
        <f>IF(基本情報入力シート!M23="","",基本情報入力シート!M23)</f>
        <v>○○ケアサービス</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62</v>
      </c>
      <c r="C8" s="720"/>
      <c r="D8" s="720"/>
      <c r="E8" s="720"/>
      <c r="F8" s="720"/>
      <c r="G8" s="720"/>
      <c r="H8" s="168" t="s">
        <v>18</v>
      </c>
      <c r="I8" s="727" t="str">
        <f>IF(基本情報入力シート!AC24="－","",基本情報入力シート!AC24)</f>
        <v>100－1000</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東京都千代田区１－１－１</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○○ビル○○号室</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13</v>
      </c>
      <c r="C11" s="730"/>
      <c r="D11" s="730"/>
      <c r="E11" s="730"/>
      <c r="F11" s="730"/>
      <c r="G11" s="730"/>
      <c r="H11" s="731" t="str">
        <f>IF(基本情報入力シート!M29="","",基本情報入力シート!M29)</f>
        <v>コウロウ　タロウ</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63</v>
      </c>
      <c r="C12" s="722"/>
      <c r="D12" s="722"/>
      <c r="E12" s="722"/>
      <c r="F12" s="722"/>
      <c r="G12" s="722"/>
      <c r="H12" s="716" t="str">
        <f>IF(基本情報入力シート!M30="","",基本情報入力シート!M30)</f>
        <v>厚労　太郎</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31</v>
      </c>
      <c r="C13" s="742"/>
      <c r="D13" s="742"/>
      <c r="E13" s="742"/>
      <c r="F13" s="742"/>
      <c r="G13" s="742"/>
      <c r="H13" s="728" t="s">
        <v>32</v>
      </c>
      <c r="I13" s="728"/>
      <c r="J13" s="728"/>
      <c r="K13" s="725"/>
      <c r="L13" s="679" t="str">
        <f>IF(基本情報入力シート!M31="","",基本情報入力シート!M31)</f>
        <v>000-0000-0000</v>
      </c>
      <c r="M13" s="679"/>
      <c r="N13" s="679"/>
      <c r="O13" s="679"/>
      <c r="P13" s="679"/>
      <c r="Q13" s="679"/>
      <c r="R13" s="679"/>
      <c r="S13" s="679"/>
      <c r="T13" s="679"/>
      <c r="U13" s="679"/>
      <c r="V13" s="742" t="s">
        <v>34</v>
      </c>
      <c r="W13" s="742"/>
      <c r="X13" s="742"/>
      <c r="Y13" s="742"/>
      <c r="Z13" s="679" t="str">
        <f>IF(基本情報入力シート!M32="","",基本情報入力シート!M32)</f>
        <v>aaa@aaa.com</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66</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67</v>
      </c>
      <c r="C18" s="743" t="s">
        <v>68</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151679358</v>
      </c>
      <c r="X18" s="708"/>
      <c r="Y18" s="708"/>
      <c r="Z18" s="708"/>
      <c r="AA18" s="708"/>
      <c r="AB18" s="709"/>
      <c r="AC18" s="188" t="s">
        <v>69</v>
      </c>
      <c r="AD18" s="163" t="s">
        <v>70</v>
      </c>
      <c r="AE18" s="694" t="str">
        <f>IF(H7="", "", IFERROR(IF(W19&gt;=W18,"○","×"),""))</f>
        <v>○</v>
      </c>
      <c r="AF18" s="162"/>
      <c r="AG18" s="162"/>
      <c r="AH18" s="162"/>
      <c r="AI18" s="162"/>
      <c r="AJ18" s="162"/>
      <c r="AK18" s="162"/>
      <c r="AL18" s="162"/>
      <c r="AM18" s="162"/>
      <c r="AN18" s="162"/>
      <c r="AO18" s="162"/>
      <c r="AP18" s="162"/>
      <c r="AQ18" s="746" t="s">
        <v>2205</v>
      </c>
      <c r="AR18" s="747"/>
      <c r="AS18" s="747"/>
      <c r="AT18" s="747"/>
      <c r="AU18" s="747"/>
      <c r="AV18" s="747"/>
      <c r="AW18" s="747"/>
      <c r="AX18" s="747"/>
      <c r="AY18" s="747"/>
      <c r="AZ18" s="747"/>
      <c r="BA18" s="747"/>
      <c r="BB18" s="747"/>
      <c r="BC18" s="747"/>
      <c r="BD18" s="747"/>
      <c r="BE18" s="748"/>
    </row>
    <row r="19" spans="1:57" ht="33.6" customHeight="1" thickBot="1">
      <c r="A19" s="162"/>
      <c r="B19" s="187" t="s">
        <v>71</v>
      </c>
      <c r="C19" s="745" t="s">
        <v>72</v>
      </c>
      <c r="D19" s="745"/>
      <c r="E19" s="745"/>
      <c r="F19" s="745"/>
      <c r="G19" s="745"/>
      <c r="H19" s="745"/>
      <c r="I19" s="745"/>
      <c r="J19" s="745"/>
      <c r="K19" s="745"/>
      <c r="L19" s="745"/>
      <c r="M19" s="745"/>
      <c r="N19" s="745"/>
      <c r="O19" s="745"/>
      <c r="P19" s="745"/>
      <c r="Q19" s="745"/>
      <c r="R19" s="745"/>
      <c r="S19" s="745"/>
      <c r="T19" s="745"/>
      <c r="U19" s="745"/>
      <c r="V19" s="745"/>
      <c r="W19" s="763">
        <v>160000000</v>
      </c>
      <c r="X19" s="764"/>
      <c r="Y19" s="764"/>
      <c r="Z19" s="764"/>
      <c r="AA19" s="764"/>
      <c r="AB19" s="765"/>
      <c r="AC19" s="189" t="s">
        <v>69</v>
      </c>
      <c r="AD19" s="163" t="s">
        <v>70</v>
      </c>
      <c r="AE19" s="696"/>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637" t="s">
        <v>75</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10" t="s">
        <v>77</v>
      </c>
      <c r="D24" s="710"/>
      <c r="E24" s="710"/>
      <c r="F24" s="710"/>
      <c r="G24" s="710"/>
      <c r="H24" s="710"/>
      <c r="I24" s="710"/>
      <c r="J24" s="710"/>
      <c r="K24" s="710"/>
      <c r="L24" s="710"/>
      <c r="M24" s="710"/>
      <c r="N24" s="710"/>
      <c r="O24" s="710"/>
      <c r="P24" s="711"/>
      <c r="Q24" s="691">
        <f>Q25-Q26-Q27</f>
        <v>136500000</v>
      </c>
      <c r="R24" s="692"/>
      <c r="S24" s="692"/>
      <c r="T24" s="692"/>
      <c r="U24" s="692"/>
      <c r="V24" s="693"/>
      <c r="W24" s="206" t="s">
        <v>69</v>
      </c>
      <c r="X24" s="207" t="s">
        <v>70</v>
      </c>
      <c r="Y24" s="694" t="str">
        <f>IF(H7="", "", IF(Q28="","",IF(Q24="","",IF(Q24&gt;=Q28,"○","×"))))</f>
        <v>○</v>
      </c>
      <c r="Z24" s="208"/>
      <c r="AA24" s="202"/>
      <c r="AB24" s="202"/>
      <c r="AC24" s="202"/>
      <c r="AD24" s="204"/>
      <c r="AE24" s="204"/>
      <c r="AF24" s="204"/>
      <c r="AG24" s="204"/>
      <c r="AH24" s="204"/>
      <c r="AI24" s="204"/>
      <c r="AJ24" s="204"/>
      <c r="AK24" s="204"/>
      <c r="AL24" s="162"/>
      <c r="AM24" s="162"/>
      <c r="AN24" s="162"/>
      <c r="AO24" s="162"/>
      <c r="AP24" s="162"/>
      <c r="AQ24" s="698" t="s">
        <v>2206</v>
      </c>
      <c r="AR24" s="699"/>
      <c r="AS24" s="699"/>
      <c r="AT24" s="699"/>
      <c r="AU24" s="699"/>
      <c r="AV24" s="699"/>
      <c r="AW24" s="699"/>
      <c r="AX24" s="699"/>
      <c r="AY24" s="699"/>
      <c r="AZ24" s="699"/>
      <c r="BA24" s="699"/>
      <c r="BB24" s="699"/>
      <c r="BC24" s="699"/>
      <c r="BD24" s="699"/>
      <c r="BE24" s="700"/>
    </row>
    <row r="25" spans="1:57" ht="18.75" customHeight="1" thickBot="1">
      <c r="A25" s="162"/>
      <c r="B25" s="697"/>
      <c r="C25" s="684" t="s">
        <v>78</v>
      </c>
      <c r="D25" s="684"/>
      <c r="E25" s="684"/>
      <c r="F25" s="684"/>
      <c r="G25" s="684"/>
      <c r="H25" s="684"/>
      <c r="I25" s="684"/>
      <c r="J25" s="684"/>
      <c r="K25" s="684"/>
      <c r="L25" s="684"/>
      <c r="M25" s="684"/>
      <c r="N25" s="684"/>
      <c r="O25" s="684"/>
      <c r="P25" s="685"/>
      <c r="Q25" s="688">
        <v>300000000</v>
      </c>
      <c r="R25" s="689"/>
      <c r="S25" s="689"/>
      <c r="T25" s="689"/>
      <c r="U25" s="689"/>
      <c r="V25" s="690"/>
      <c r="W25" s="206" t="s">
        <v>69</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79</v>
      </c>
      <c r="D26" s="686"/>
      <c r="E26" s="686"/>
      <c r="F26" s="686"/>
      <c r="G26" s="686"/>
      <c r="H26" s="686"/>
      <c r="I26" s="686"/>
      <c r="J26" s="686"/>
      <c r="K26" s="686"/>
      <c r="L26" s="686"/>
      <c r="M26" s="686"/>
      <c r="N26" s="686"/>
      <c r="O26" s="686"/>
      <c r="P26" s="687"/>
      <c r="Q26" s="691">
        <f>W19</f>
        <v>160000000</v>
      </c>
      <c r="R26" s="692"/>
      <c r="S26" s="692"/>
      <c r="T26" s="692"/>
      <c r="U26" s="692"/>
      <c r="V26" s="693"/>
      <c r="W26" s="206" t="s">
        <v>69</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80</v>
      </c>
      <c r="D27" s="686"/>
      <c r="E27" s="686"/>
      <c r="F27" s="686"/>
      <c r="G27" s="686"/>
      <c r="H27" s="686"/>
      <c r="I27" s="686"/>
      <c r="J27" s="686"/>
      <c r="K27" s="686"/>
      <c r="L27" s="686"/>
      <c r="M27" s="686"/>
      <c r="N27" s="686"/>
      <c r="O27" s="686"/>
      <c r="P27" s="687"/>
      <c r="Q27" s="712">
        <v>3500000</v>
      </c>
      <c r="R27" s="713"/>
      <c r="S27" s="713"/>
      <c r="T27" s="713"/>
      <c r="U27" s="713"/>
      <c r="V27" s="714"/>
      <c r="W27" s="206" t="s">
        <v>69</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71</v>
      </c>
      <c r="C28" s="767" t="s">
        <v>81</v>
      </c>
      <c r="D28" s="768"/>
      <c r="E28" s="768"/>
      <c r="F28" s="768"/>
      <c r="G28" s="768"/>
      <c r="H28" s="768"/>
      <c r="I28" s="768"/>
      <c r="J28" s="768"/>
      <c r="K28" s="768"/>
      <c r="L28" s="768"/>
      <c r="M28" s="768"/>
      <c r="N28" s="768"/>
      <c r="O28" s="768"/>
      <c r="P28" s="768"/>
      <c r="Q28" s="691">
        <f>Q29-Q30-Q31-Q32-Q33</f>
        <v>86900000</v>
      </c>
      <c r="R28" s="692"/>
      <c r="S28" s="692"/>
      <c r="T28" s="692"/>
      <c r="U28" s="692"/>
      <c r="V28" s="693"/>
      <c r="W28" s="210" t="s">
        <v>69</v>
      </c>
      <c r="X28" s="207" t="s">
        <v>70</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82</v>
      </c>
      <c r="D29" s="780"/>
      <c r="E29" s="780"/>
      <c r="F29" s="780"/>
      <c r="G29" s="780"/>
      <c r="H29" s="780"/>
      <c r="I29" s="780"/>
      <c r="J29" s="780"/>
      <c r="K29" s="780"/>
      <c r="L29" s="780"/>
      <c r="M29" s="780"/>
      <c r="N29" s="780"/>
      <c r="O29" s="780"/>
      <c r="P29" s="781"/>
      <c r="Q29" s="757">
        <v>100000000</v>
      </c>
      <c r="R29" s="758"/>
      <c r="S29" s="758"/>
      <c r="T29" s="758"/>
      <c r="U29" s="758"/>
      <c r="V29" s="759"/>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83</v>
      </c>
      <c r="D30" s="780"/>
      <c r="E30" s="780"/>
      <c r="F30" s="780"/>
      <c r="G30" s="780"/>
      <c r="H30" s="780"/>
      <c r="I30" s="780"/>
      <c r="J30" s="780"/>
      <c r="K30" s="780"/>
      <c r="L30" s="780"/>
      <c r="M30" s="780"/>
      <c r="N30" s="780"/>
      <c r="O30" s="780"/>
      <c r="P30" s="781"/>
      <c r="Q30" s="757">
        <v>10000000</v>
      </c>
      <c r="R30" s="758"/>
      <c r="S30" s="758"/>
      <c r="T30" s="758"/>
      <c r="U30" s="758"/>
      <c r="V30" s="759"/>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84</v>
      </c>
      <c r="D31" s="783"/>
      <c r="E31" s="783"/>
      <c r="F31" s="783"/>
      <c r="G31" s="783"/>
      <c r="H31" s="783"/>
      <c r="I31" s="783"/>
      <c r="J31" s="783"/>
      <c r="K31" s="783"/>
      <c r="L31" s="783"/>
      <c r="M31" s="783"/>
      <c r="N31" s="783"/>
      <c r="O31" s="783"/>
      <c r="P31" s="784"/>
      <c r="Q31" s="754">
        <v>3000000</v>
      </c>
      <c r="R31" s="755"/>
      <c r="S31" s="755"/>
      <c r="T31" s="755"/>
      <c r="U31" s="755"/>
      <c r="V31" s="756"/>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85</v>
      </c>
      <c r="D32" s="629"/>
      <c r="E32" s="629"/>
      <c r="F32" s="629"/>
      <c r="G32" s="629"/>
      <c r="H32" s="629"/>
      <c r="I32" s="629"/>
      <c r="J32" s="629"/>
      <c r="K32" s="629"/>
      <c r="L32" s="629"/>
      <c r="M32" s="629"/>
      <c r="N32" s="629"/>
      <c r="O32" s="629"/>
      <c r="P32" s="630"/>
      <c r="Q32" s="712">
        <v>0</v>
      </c>
      <c r="R32" s="713"/>
      <c r="S32" s="713"/>
      <c r="T32" s="713"/>
      <c r="U32" s="713"/>
      <c r="V32" s="714"/>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86</v>
      </c>
      <c r="D33" s="629"/>
      <c r="E33" s="629"/>
      <c r="F33" s="629"/>
      <c r="G33" s="629"/>
      <c r="H33" s="629"/>
      <c r="I33" s="629"/>
      <c r="J33" s="629"/>
      <c r="K33" s="629"/>
      <c r="L33" s="629"/>
      <c r="M33" s="629"/>
      <c r="N33" s="629"/>
      <c r="O33" s="629"/>
      <c r="P33" s="630"/>
      <c r="Q33" s="754">
        <v>100000</v>
      </c>
      <c r="R33" s="755"/>
      <c r="S33" s="755"/>
      <c r="T33" s="755"/>
      <c r="U33" s="755"/>
      <c r="V33" s="756"/>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60" t="s">
        <v>87</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74</v>
      </c>
      <c r="C37" s="779" t="s">
        <v>88</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74</v>
      </c>
      <c r="C38" s="760" t="s">
        <v>2204</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74</v>
      </c>
      <c r="C39" s="637" t="s">
        <v>2190</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89</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90</v>
      </c>
      <c r="D41" s="633"/>
      <c r="E41" s="633"/>
      <c r="F41" s="633"/>
      <c r="G41" s="633"/>
      <c r="H41" s="633"/>
      <c r="I41" s="633"/>
      <c r="J41" s="633"/>
      <c r="K41" s="633"/>
      <c r="L41" s="633"/>
      <c r="M41" s="633"/>
      <c r="N41" s="633"/>
      <c r="O41" s="633"/>
      <c r="P41" s="633"/>
      <c r="Q41" s="633"/>
      <c r="R41" s="633"/>
      <c r="S41" s="633"/>
      <c r="T41" s="633"/>
      <c r="U41" s="633"/>
      <c r="V41" s="633"/>
      <c r="W41" s="634">
        <f>(Q25-Q29)-(W18-Q30)</f>
        <v>58320642</v>
      </c>
      <c r="X41" s="635"/>
      <c r="Y41" s="635"/>
      <c r="Z41" s="635"/>
      <c r="AA41" s="635"/>
      <c r="AB41" s="636"/>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2189</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74</v>
      </c>
      <c r="C44" s="810" t="s">
        <v>91</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92</v>
      </c>
      <c r="C45" s="792"/>
      <c r="D45" s="792"/>
      <c r="E45" s="793"/>
      <c r="F45" s="802" t="s">
        <v>93</v>
      </c>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94</v>
      </c>
      <c r="AR45" s="819"/>
      <c r="AS45" s="819"/>
      <c r="AT45" s="819"/>
      <c r="AU45" s="819"/>
      <c r="AV45" s="819"/>
      <c r="AW45" s="819"/>
      <c r="AX45" s="819"/>
      <c r="AY45" s="819"/>
      <c r="AZ45" s="819"/>
      <c r="BA45" s="819"/>
      <c r="BB45" s="819"/>
      <c r="BC45" s="819"/>
      <c r="BD45" s="819"/>
      <c r="BE45" s="820"/>
    </row>
    <row r="46" spans="1:57" ht="47.25" customHeight="1" thickBot="1">
      <c r="A46" s="162"/>
      <c r="B46" s="791" t="s">
        <v>95</v>
      </c>
      <c r="C46" s="792"/>
      <c r="D46" s="792"/>
      <c r="E46" s="793"/>
      <c r="F46" s="811" t="s">
        <v>96</v>
      </c>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97</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98</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11" t="s">
        <v>100</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815" t="s">
        <v>102</v>
      </c>
      <c r="C51" s="816"/>
      <c r="D51" s="816"/>
      <c r="E51" s="816"/>
      <c r="F51" s="816"/>
      <c r="G51" s="816"/>
      <c r="H51" s="816"/>
      <c r="I51" s="816"/>
      <c r="J51" s="816"/>
      <c r="K51" s="816"/>
      <c r="L51" s="816"/>
      <c r="M51" s="816"/>
      <c r="N51" s="816"/>
      <c r="O51" s="816"/>
      <c r="P51" s="816"/>
      <c r="Q51" s="816"/>
      <c r="R51" s="816"/>
      <c r="S51" s="817"/>
      <c r="T51" s="850">
        <f>'別紙様式3-2（処遇改善加算　個票）'!N6</f>
        <v>52685921</v>
      </c>
      <c r="U51" s="851"/>
      <c r="V51" s="851"/>
      <c r="W51" s="851"/>
      <c r="X51" s="851"/>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805" t="s">
        <v>104</v>
      </c>
      <c r="C52" s="806"/>
      <c r="D52" s="806"/>
      <c r="E52" s="806"/>
      <c r="F52" s="806"/>
      <c r="G52" s="806"/>
      <c r="H52" s="806"/>
      <c r="I52" s="806"/>
      <c r="J52" s="806"/>
      <c r="K52" s="806"/>
      <c r="L52" s="806"/>
      <c r="M52" s="806"/>
      <c r="N52" s="806"/>
      <c r="O52" s="806"/>
      <c r="P52" s="806"/>
      <c r="Q52" s="806"/>
      <c r="R52" s="806"/>
      <c r="S52" s="806"/>
      <c r="T52" s="807">
        <v>60000000</v>
      </c>
      <c r="U52" s="808"/>
      <c r="V52" s="808"/>
      <c r="W52" s="808"/>
      <c r="X52" s="809"/>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108</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109</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110</v>
      </c>
      <c r="F60" s="761"/>
      <c r="G60" s="761"/>
      <c r="H60" s="761"/>
      <c r="I60" s="761"/>
      <c r="J60" s="761"/>
      <c r="K60" s="761"/>
      <c r="L60" s="761"/>
      <c r="M60" s="761"/>
      <c r="N60" s="761"/>
      <c r="O60" s="761"/>
      <c r="P60" s="761"/>
      <c r="Q60" s="761"/>
      <c r="R60" s="762"/>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117</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118</v>
      </c>
      <c r="F66" s="761"/>
      <c r="G66" s="761"/>
      <c r="H66" s="761"/>
      <c r="I66" s="761"/>
      <c r="J66" s="761"/>
      <c r="K66" s="761"/>
      <c r="L66" s="761"/>
      <c r="M66" s="761"/>
      <c r="N66" s="761"/>
      <c r="O66" s="761"/>
      <c r="P66" s="761"/>
      <c r="Q66" s="761"/>
      <c r="R66" s="762"/>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111</v>
      </c>
      <c r="D67" s="771" t="s">
        <v>119</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120</v>
      </c>
      <c r="E68" s="624"/>
      <c r="F68" s="624"/>
      <c r="G68" s="624"/>
      <c r="H68" s="775"/>
      <c r="I68" s="777" t="s">
        <v>67</v>
      </c>
      <c r="J68" s="785" t="s">
        <v>121</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122</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71</v>
      </c>
      <c r="J70" s="270" t="s">
        <v>123</v>
      </c>
      <c r="K70" s="271"/>
      <c r="L70" s="271"/>
      <c r="M70" s="271"/>
      <c r="N70" s="271"/>
      <c r="O70" s="271"/>
      <c r="P70" s="271"/>
      <c r="Q70" s="271"/>
      <c r="R70" s="271"/>
      <c r="S70" s="798" t="s">
        <v>124</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122</v>
      </c>
      <c r="AR71" s="750"/>
      <c r="AS71" s="750"/>
      <c r="AT71" s="750"/>
      <c r="AU71" s="750"/>
      <c r="AV71" s="750"/>
      <c r="AW71" s="750"/>
      <c r="AX71" s="750"/>
      <c r="AY71" s="750"/>
      <c r="AZ71" s="750"/>
      <c r="BA71" s="750"/>
      <c r="BB71" s="750"/>
      <c r="BC71" s="750"/>
      <c r="BD71" s="750"/>
      <c r="BE71" s="751"/>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127</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118</v>
      </c>
      <c r="E78" s="844"/>
      <c r="F78" s="844"/>
      <c r="G78" s="844"/>
      <c r="H78" s="844"/>
      <c r="I78" s="844"/>
      <c r="J78" s="844"/>
      <c r="K78" s="844"/>
      <c r="L78" s="844"/>
      <c r="M78" s="844"/>
      <c r="N78" s="844"/>
      <c r="O78" s="844"/>
      <c r="P78" s="844"/>
      <c r="Q78" s="845"/>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619" t="s">
        <v>128</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129</v>
      </c>
      <c r="D80" s="624"/>
      <c r="E80" s="624"/>
      <c r="F80" s="624"/>
      <c r="G80" s="287"/>
      <c r="H80" s="288" t="s">
        <v>67</v>
      </c>
      <c r="I80" s="833" t="s">
        <v>130</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1</v>
      </c>
      <c r="AN80" s="450" t="b">
        <v>1</v>
      </c>
      <c r="AO80" s="448" t="b">
        <v>1</v>
      </c>
      <c r="AP80" s="448" t="b">
        <v>1</v>
      </c>
    </row>
    <row r="81" spans="1:57" ht="37.5" customHeight="1">
      <c r="A81" s="162"/>
      <c r="B81" s="621"/>
      <c r="C81" s="625"/>
      <c r="D81" s="580"/>
      <c r="E81" s="580"/>
      <c r="F81" s="580"/>
      <c r="G81" s="289"/>
      <c r="H81" s="290" t="s">
        <v>71</v>
      </c>
      <c r="I81" s="836" t="s">
        <v>131</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132</v>
      </c>
      <c r="I82" s="837" t="s">
        <v>133</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113</v>
      </c>
      <c r="C83" s="676" t="s">
        <v>134</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135</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136</v>
      </c>
      <c r="C87" s="855"/>
      <c r="D87" s="855"/>
      <c r="E87" s="855"/>
      <c r="F87" s="855"/>
      <c r="G87" s="855"/>
      <c r="H87" s="855"/>
      <c r="I87" s="855"/>
      <c r="J87" s="855"/>
      <c r="K87" s="855"/>
      <c r="L87" s="855"/>
      <c r="M87" s="855"/>
      <c r="N87" s="855"/>
      <c r="O87" s="855"/>
      <c r="P87" s="855"/>
      <c r="Q87" s="856"/>
      <c r="R87" s="191" t="s">
        <v>137</v>
      </c>
      <c r="S87" s="303" t="str">
        <f>'別紙様式3-2（処遇改善加算　個票）'!Z5</f>
        <v>×</v>
      </c>
      <c r="T87" s="825" t="s">
        <v>138</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設定できない</v>
      </c>
      <c r="AX87" s="173"/>
    </row>
    <row r="88" spans="1:57" ht="27.75" customHeight="1" thickBot="1">
      <c r="A88" s="162"/>
      <c r="B88" s="854" t="s">
        <v>139</v>
      </c>
      <c r="C88" s="855"/>
      <c r="D88" s="855"/>
      <c r="E88" s="855"/>
      <c r="F88" s="855"/>
      <c r="G88" s="855"/>
      <c r="H88" s="855"/>
      <c r="I88" s="855"/>
      <c r="J88" s="855"/>
      <c r="K88" s="855"/>
      <c r="L88" s="855"/>
      <c r="M88" s="855"/>
      <c r="N88" s="855"/>
      <c r="O88" s="855"/>
      <c r="P88" s="855"/>
      <c r="Q88" s="856"/>
      <c r="R88" s="191" t="s">
        <v>137</v>
      </c>
      <c r="S88" s="303" t="str">
        <f>'別紙様式3-2（処遇改善加算　個票）'!Z7</f>
        <v>○</v>
      </c>
      <c r="T88" s="825" t="s">
        <v>140</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143</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146</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148</v>
      </c>
      <c r="AL95" s="166"/>
      <c r="AM95" s="448" t="b">
        <v>0</v>
      </c>
      <c r="AN95" s="327"/>
      <c r="AO95" s="327"/>
      <c r="AQ95" s="847" t="s">
        <v>149</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127</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151</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該当</v>
      </c>
      <c r="AJ101" s="858"/>
      <c r="AK101" s="859"/>
      <c r="AL101" s="166"/>
      <c r="AX101" s="330"/>
      <c r="AY101" s="330"/>
      <c r="AZ101" s="330"/>
    </row>
    <row r="102" spans="1:57" s="167" customFormat="1" ht="45" customHeight="1">
      <c r="A102" s="162"/>
      <c r="B102" s="241" t="s">
        <v>137</v>
      </c>
      <c r="C102" s="613" t="s">
        <v>153</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該当</v>
      </c>
      <c r="AJ104" s="868"/>
      <c r="AK104" s="869"/>
      <c r="AL104" s="166"/>
      <c r="AX104" s="330"/>
      <c r="AY104" s="330"/>
      <c r="AZ104" s="330"/>
    </row>
    <row r="105" spans="1:57" s="167" customFormat="1" ht="57.75" customHeight="1">
      <c r="A105" s="162"/>
      <c r="B105" s="241" t="s">
        <v>137</v>
      </c>
      <c r="C105" s="613" t="s">
        <v>2185</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155</v>
      </c>
      <c r="C107" s="615"/>
      <c r="D107" s="615"/>
      <c r="E107" s="615"/>
      <c r="F107" s="830" t="s">
        <v>156</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157</v>
      </c>
      <c r="C108" s="595"/>
      <c r="D108" s="595"/>
      <c r="E108" s="596"/>
      <c r="F108" s="287"/>
      <c r="G108" s="616" t="s">
        <v>158</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1</v>
      </c>
      <c r="AN108" s="631">
        <f>COUNTIF(AM108:AM111, TRUE)</f>
        <v>2</v>
      </c>
      <c r="AO108" s="327"/>
      <c r="AP108" s="327"/>
      <c r="AQ108" s="638" t="str">
        <f>IF(AI101="該当",  "！この区分（４項目）から２つ以上の取組が選択されていません。",  "！この区分（４項目）から１つ以上の取組が選択されていません。")</f>
        <v>！この区分（４項目）から２つ以上の取組が選択されていません。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159</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1</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160</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161</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162</v>
      </c>
      <c r="C112" s="595"/>
      <c r="D112" s="595"/>
      <c r="E112" s="596"/>
      <c r="F112" s="339"/>
      <c r="G112" s="605" t="s">
        <v>163</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1</v>
      </c>
      <c r="AN112" s="631">
        <f>COUNTIF(AM112:AM115, TRUE)</f>
        <v>2</v>
      </c>
      <c r="AO112" s="327"/>
      <c r="AP112" s="327"/>
      <c r="AQ112" s="638" t="str">
        <f>IF(AI101="該当", "！この区分（４項目）から２つ以上の取組が選択されていません。",  "！この区分（４項目）から１つ以上の取組が選択されていません。")</f>
        <v>！この区分（４項目）から２つ以上の取組が選択されていません。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164</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1</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165</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166</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167</v>
      </c>
      <c r="C116" s="595"/>
      <c r="D116" s="595"/>
      <c r="E116" s="596"/>
      <c r="F116" s="342"/>
      <c r="G116" s="603" t="s">
        <v>168</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1</v>
      </c>
      <c r="AN116" s="631">
        <f>COUNTIF(AM116:AM119, TRUE)</f>
        <v>2</v>
      </c>
      <c r="AO116" s="327"/>
      <c r="AP116" s="327"/>
      <c r="AQ116" s="638" t="str">
        <f>IF(AI101="該当", "！この区分（４項目）から２つ以上の取組が選択されていません。",  "！この区分（４項目）から１つ以上の取組が選択されていません。")</f>
        <v>！この区分（４項目）から２つ以上の取組が選択されていません。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169</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1</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170</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171</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172</v>
      </c>
      <c r="C120" s="595"/>
      <c r="D120" s="595"/>
      <c r="E120" s="596"/>
      <c r="F120" s="339"/>
      <c r="G120" s="605" t="s">
        <v>173</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1</v>
      </c>
      <c r="AN120" s="631">
        <f>COUNTIF(AM120:AM123, TRUE)</f>
        <v>2</v>
      </c>
      <c r="AO120" s="327"/>
      <c r="AP120" s="327"/>
      <c r="AQ120" s="638" t="str">
        <f>IF(AI101="該当", "！この区分（４項目）から２つ以上の取組が選択されていません。",  "！この区分（４項目）から１つ以上の取組が選択されていません。")</f>
        <v>！この区分（４項目）から２つ以上の取組が選択されていません。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174</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1</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175</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176</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177</v>
      </c>
      <c r="C124" s="577"/>
      <c r="D124" s="577"/>
      <c r="E124" s="578"/>
      <c r="F124" s="342"/>
      <c r="G124" s="605" t="s">
        <v>178</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1</v>
      </c>
      <c r="AN124" s="650">
        <f>COUNTIF(AM124:AM131, TRUE)</f>
        <v>3</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179</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1</v>
      </c>
      <c r="AN125" s="651"/>
      <c r="AO125" s="327"/>
      <c r="AP125" s="327"/>
      <c r="AQ125" s="638" t="str">
        <f>IF(AI101="該当", "！この区分（４項目）から３つ以上の取組が選択されていません。",  "！この区分（４項目）から２つ以上の取組が選択されていません。")</f>
        <v>！この区分（４項目）から３つ以上の取組が選択されていません。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180</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181</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182</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183</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184</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185</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1</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186</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187</v>
      </c>
      <c r="C133" s="595"/>
      <c r="D133" s="595"/>
      <c r="E133" s="596"/>
      <c r="F133" s="339"/>
      <c r="G133" s="605" t="s">
        <v>188</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1</v>
      </c>
      <c r="AN133" s="631">
        <f>COUNTIF(AM133:AM136,TRUE)</f>
        <v>2</v>
      </c>
      <c r="AO133" s="327"/>
      <c r="AP133" s="327"/>
      <c r="AQ133" s="638" t="str">
        <f>IF(AI101="該当", "！この区分（４項目）から２つ以上の取組が選択されていません。",  "！この区分（４項目）から１つ以上の取組が選択されていません。")</f>
        <v>！この区分（４項目）から２つ以上の取組が選択されていません。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189</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1</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190</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191</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194</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853" t="s">
        <v>198</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852" t="s">
        <v>200</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659">
        <v>9</v>
      </c>
      <c r="F150" s="660"/>
      <c r="G150" s="370" t="s">
        <v>202</v>
      </c>
      <c r="H150" s="659">
        <v>7</v>
      </c>
      <c r="I150" s="660"/>
      <c r="J150" s="370" t="s">
        <v>203</v>
      </c>
      <c r="K150" s="659">
        <v>1</v>
      </c>
      <c r="L150" s="660"/>
      <c r="M150" s="370" t="s">
        <v>204</v>
      </c>
      <c r="N150" s="368"/>
      <c r="O150" s="661" t="s">
        <v>12</v>
      </c>
      <c r="P150" s="661"/>
      <c r="Q150" s="661"/>
      <c r="R150" s="656" t="str">
        <f>IF(H7="","",H7)</f>
        <v>○○ケアサービス</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205</v>
      </c>
      <c r="P151" s="866"/>
      <c r="Q151" s="866"/>
      <c r="R151" s="675" t="s">
        <v>24</v>
      </c>
      <c r="S151" s="675"/>
      <c r="T151" s="658" t="str">
        <f>IF(基本情報入力シート!M27="", "", 基本情報入力シート!M27)</f>
        <v>代表取締役</v>
      </c>
      <c r="U151" s="658"/>
      <c r="V151" s="658"/>
      <c r="W151" s="658"/>
      <c r="X151" s="658"/>
      <c r="Y151" s="657" t="s">
        <v>26</v>
      </c>
      <c r="Z151" s="657"/>
      <c r="AA151" s="658" t="str">
        <f>IF(基本情報入力シート!M28="", "", 基本情報入力シート!M28)</f>
        <v>厚労　花子</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64</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210</v>
      </c>
      <c r="C159" s="665" t="s">
        <v>211</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v>
      </c>
      <c r="AL159" s="162"/>
    </row>
    <row r="160" spans="1:53" ht="15" customHeight="1">
      <c r="A160" s="162"/>
      <c r="B160" s="385" t="s">
        <v>212</v>
      </c>
      <c r="C160" s="668" t="s">
        <v>213</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v>
      </c>
      <c r="AL160" s="162"/>
    </row>
    <row r="161" spans="1:38" ht="15" customHeight="1">
      <c r="A161" s="162"/>
      <c r="B161" s="386" t="s">
        <v>214</v>
      </c>
      <c r="C161" s="676" t="s">
        <v>215</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216</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210</v>
      </c>
      <c r="C164" s="860" t="s">
        <v>217</v>
      </c>
      <c r="D164" s="861"/>
      <c r="E164" s="861"/>
      <c r="F164" s="861"/>
      <c r="G164" s="861"/>
      <c r="H164" s="861"/>
      <c r="I164" s="862"/>
      <c r="J164" s="863" t="s">
        <v>218</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v>
      </c>
      <c r="AL164" s="162"/>
    </row>
    <row r="165" spans="1:38" ht="15" customHeight="1">
      <c r="A165" s="162"/>
      <c r="B165" s="387" t="s">
        <v>212</v>
      </c>
      <c r="C165" s="672" t="s">
        <v>219</v>
      </c>
      <c r="D165" s="673"/>
      <c r="E165" s="673"/>
      <c r="F165" s="673"/>
      <c r="G165" s="673"/>
      <c r="H165" s="673"/>
      <c r="I165" s="674"/>
      <c r="J165" s="662" t="s">
        <v>220</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214</v>
      </c>
      <c r="C166" s="671" t="s">
        <v>221</v>
      </c>
      <c r="D166" s="671"/>
      <c r="E166" s="671"/>
      <c r="F166" s="671"/>
      <c r="G166" s="671"/>
      <c r="H166" s="671"/>
      <c r="I166" s="671"/>
      <c r="J166" s="662" t="s">
        <v>222</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v>
      </c>
      <c r="AL166" s="162"/>
    </row>
    <row r="167" spans="1:38" ht="30" customHeight="1">
      <c r="A167" s="162"/>
      <c r="B167" s="387" t="s">
        <v>223</v>
      </c>
      <c r="C167" s="671" t="s">
        <v>224</v>
      </c>
      <c r="D167" s="671"/>
      <c r="E167" s="671"/>
      <c r="F167" s="671"/>
      <c r="G167" s="671"/>
      <c r="H167" s="671"/>
      <c r="I167" s="671"/>
      <c r="J167" s="662" t="s">
        <v>225</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v>
      </c>
      <c r="AL167" s="162"/>
    </row>
    <row r="168" spans="1:38" ht="17.45" customHeight="1">
      <c r="A168" s="162"/>
      <c r="B168" s="388" t="s">
        <v>226</v>
      </c>
      <c r="C168" s="671" t="s">
        <v>227</v>
      </c>
      <c r="D168" s="671"/>
      <c r="E168" s="671"/>
      <c r="F168" s="671"/>
      <c r="G168" s="671"/>
      <c r="H168" s="671"/>
      <c r="I168" s="671"/>
      <c r="J168" s="662" t="s">
        <v>228</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v>
      </c>
      <c r="AL168" s="162"/>
    </row>
    <row r="169" spans="1:38" ht="15" customHeight="1">
      <c r="A169" s="162"/>
      <c r="B169" s="390" t="s">
        <v>229</v>
      </c>
      <c r="C169" s="653" t="s">
        <v>230</v>
      </c>
      <c r="D169" s="653"/>
      <c r="E169" s="653"/>
      <c r="F169" s="653"/>
      <c r="G169" s="653"/>
      <c r="H169" s="653"/>
      <c r="I169" s="653"/>
      <c r="J169" s="654" t="s">
        <v>231</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AG14" sqref="AG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893" t="s">
        <v>59</v>
      </c>
      <c r="X1" s="907"/>
      <c r="Y1" s="893" t="str">
        <f>IF(基本情報入力シート!G18="","",基本情報入力シート!G18)</f>
        <v>東京都</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12</v>
      </c>
      <c r="B3" s="921"/>
      <c r="C3" s="921"/>
      <c r="D3" s="921"/>
      <c r="E3" s="922"/>
      <c r="F3" s="923" t="str">
        <f>IF(基本情報入力シート!M23="","",基本情報入力シート!M23)</f>
        <v>○○ケアサービス</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503"/>
      <c r="AC4" s="503"/>
      <c r="AD4" s="503"/>
      <c r="AE4" s="503"/>
      <c r="AF4" s="499"/>
      <c r="AJ4" s="394"/>
      <c r="AK4" s="394"/>
    </row>
    <row r="5" spans="1:38" ht="25.5" customHeight="1">
      <c r="A5" s="162"/>
      <c r="B5" s="926" t="s">
        <v>234</v>
      </c>
      <c r="C5" s="926"/>
      <c r="D5" s="927"/>
      <c r="E5" s="927"/>
      <c r="F5" s="927"/>
      <c r="G5" s="927"/>
      <c r="H5" s="927"/>
      <c r="I5" s="927"/>
      <c r="J5" s="927"/>
      <c r="K5" s="927"/>
      <c r="L5" s="927"/>
      <c r="M5" s="927"/>
      <c r="N5" s="400">
        <f>IFERROR(SUM(P:P)+SUM(W:W),"")</f>
        <v>151679358</v>
      </c>
      <c r="O5" s="401" t="s">
        <v>69</v>
      </c>
      <c r="P5" s="402"/>
      <c r="Q5" s="403"/>
      <c r="R5" s="895" t="s">
        <v>235</v>
      </c>
      <c r="S5" s="895"/>
      <c r="T5" s="905" t="s">
        <v>236</v>
      </c>
      <c r="U5" s="745"/>
      <c r="V5" s="745"/>
      <c r="W5" s="745"/>
      <c r="X5" s="906"/>
      <c r="Y5" s="404">
        <f>SUM(S14:T113)</f>
        <v>0</v>
      </c>
      <c r="Z5" s="870" t="str">
        <f>IF(Y6=0, "", IF(Y5&gt;=Y6,"○","×"))</f>
        <v>×</v>
      </c>
      <c r="AA5" s="399"/>
      <c r="AB5" s="503"/>
      <c r="AC5" s="503"/>
      <c r="AD5" s="503"/>
      <c r="AE5" s="500"/>
      <c r="AF5" s="500"/>
      <c r="AG5" s="500"/>
      <c r="AH5" s="500"/>
      <c r="AI5" s="394"/>
      <c r="AJ5" s="394"/>
      <c r="AK5" s="394"/>
    </row>
    <row r="6" spans="1:38" ht="30.6" customHeight="1" thickBot="1">
      <c r="A6" s="162"/>
      <c r="B6" s="908"/>
      <c r="C6" s="909"/>
      <c r="D6" s="910" t="s">
        <v>2194</v>
      </c>
      <c r="E6" s="910"/>
      <c r="F6" s="910"/>
      <c r="G6" s="910"/>
      <c r="H6" s="910"/>
      <c r="I6" s="910"/>
      <c r="J6" s="910"/>
      <c r="K6" s="910"/>
      <c r="L6" s="910"/>
      <c r="M6" s="910"/>
      <c r="N6" s="400">
        <f>SUM(Q:Q, X:X)</f>
        <v>52685921</v>
      </c>
      <c r="O6" s="401" t="s">
        <v>69</v>
      </c>
      <c r="P6" s="402"/>
      <c r="Q6" s="402"/>
      <c r="R6" s="895"/>
      <c r="S6" s="895"/>
      <c r="T6" s="905" t="s">
        <v>237</v>
      </c>
      <c r="U6" s="745"/>
      <c r="V6" s="745"/>
      <c r="W6" s="745"/>
      <c r="X6" s="906"/>
      <c r="Y6" s="405">
        <f>SUM(AF:AF)</f>
        <v>2</v>
      </c>
      <c r="Z6" s="871"/>
      <c r="AA6" s="399"/>
      <c r="AB6" s="503"/>
      <c r="AC6" s="503"/>
      <c r="AD6" s="503"/>
      <c r="AE6" s="500"/>
      <c r="AF6" s="500"/>
      <c r="AG6" s="500"/>
      <c r="AH6" s="500"/>
      <c r="AI6" s="394"/>
      <c r="AJ6" s="394"/>
      <c r="AK6" s="394"/>
    </row>
    <row r="7" spans="1:38" ht="33" customHeight="1">
      <c r="A7" s="162"/>
      <c r="B7" s="911" t="s">
        <v>238</v>
      </c>
      <c r="C7" s="911"/>
      <c r="D7" s="911"/>
      <c r="E7" s="911"/>
      <c r="F7" s="911"/>
      <c r="G7" s="911"/>
      <c r="H7" s="911"/>
      <c r="I7" s="911"/>
      <c r="J7" s="911"/>
      <c r="K7" s="911"/>
      <c r="L7" s="911"/>
      <c r="M7" s="911"/>
      <c r="N7" s="911"/>
      <c r="O7" s="911"/>
      <c r="P7" s="911"/>
      <c r="Q7" s="406"/>
      <c r="R7" s="895" t="s">
        <v>239</v>
      </c>
      <c r="S7" s="895"/>
      <c r="T7" s="905" t="s">
        <v>236</v>
      </c>
      <c r="U7" s="745"/>
      <c r="V7" s="745"/>
      <c r="W7" s="745"/>
      <c r="X7" s="906"/>
      <c r="Y7" s="407">
        <f>SUM(Z14:Z113)</f>
        <v>2</v>
      </c>
      <c r="Z7" s="870" t="str">
        <f>IF(Y8=0, "", IF(Y7&gt;=Y8,"○","×"))</f>
        <v>○</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240</v>
      </c>
      <c r="U8" s="745"/>
      <c r="V8" s="745"/>
      <c r="W8" s="745"/>
      <c r="X8" s="906"/>
      <c r="Y8" s="405">
        <f>SUM(AG:AG)</f>
        <v>2</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241</v>
      </c>
      <c r="C10" s="876"/>
      <c r="D10" s="876"/>
      <c r="E10" s="876"/>
      <c r="F10" s="876"/>
      <c r="G10" s="876"/>
      <c r="H10" s="876"/>
      <c r="I10" s="877"/>
      <c r="J10" s="884" t="s">
        <v>242</v>
      </c>
      <c r="K10" s="887" t="s">
        <v>243</v>
      </c>
      <c r="L10" s="888"/>
      <c r="M10" s="937" t="s">
        <v>244</v>
      </c>
      <c r="N10" s="940" t="s">
        <v>51</v>
      </c>
      <c r="O10" s="896" t="s">
        <v>245</v>
      </c>
      <c r="P10" s="897"/>
      <c r="Q10" s="897"/>
      <c r="R10" s="897"/>
      <c r="S10" s="897"/>
      <c r="T10" s="897"/>
      <c r="U10" s="897"/>
      <c r="V10" s="897"/>
      <c r="W10" s="897"/>
      <c r="X10" s="897"/>
      <c r="Y10" s="897"/>
      <c r="Z10" s="897"/>
      <c r="AA10" s="897"/>
      <c r="AB10" s="945" t="s">
        <v>246</v>
      </c>
      <c r="AC10" s="945" t="s">
        <v>247</v>
      </c>
      <c r="AD10" s="945" t="s">
        <v>248</v>
      </c>
      <c r="AE10" s="950" t="s">
        <v>249</v>
      </c>
      <c r="AF10" s="944" t="s">
        <v>250</v>
      </c>
      <c r="AG10" s="945"/>
      <c r="AH10" s="959" t="s">
        <v>251</v>
      </c>
      <c r="AI10" s="411"/>
      <c r="AJ10" s="412"/>
      <c r="AK10" s="394"/>
    </row>
    <row r="11" spans="1:38" ht="21.6" customHeight="1">
      <c r="A11" s="873"/>
      <c r="B11" s="878"/>
      <c r="C11" s="879"/>
      <c r="D11" s="879"/>
      <c r="E11" s="879"/>
      <c r="F11" s="879"/>
      <c r="G11" s="879"/>
      <c r="H11" s="879"/>
      <c r="I11" s="880"/>
      <c r="J11" s="885"/>
      <c r="K11" s="889"/>
      <c r="L11" s="890"/>
      <c r="M11" s="938"/>
      <c r="N11" s="941"/>
      <c r="O11" s="898" t="s">
        <v>252</v>
      </c>
      <c r="P11" s="899"/>
      <c r="Q11" s="899"/>
      <c r="R11" s="899"/>
      <c r="S11" s="899"/>
      <c r="T11" s="899"/>
      <c r="U11" s="900"/>
      <c r="V11" s="903" t="s">
        <v>239</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253</v>
      </c>
      <c r="P12" s="914" t="s">
        <v>254</v>
      </c>
      <c r="Q12" s="958" t="s">
        <v>255</v>
      </c>
      <c r="R12" s="958" t="s">
        <v>256</v>
      </c>
      <c r="S12" s="915" t="s">
        <v>257</v>
      </c>
      <c r="T12" s="916"/>
      <c r="U12" s="901" t="s">
        <v>258</v>
      </c>
      <c r="V12" s="912" t="s">
        <v>259</v>
      </c>
      <c r="W12" s="958" t="s">
        <v>254</v>
      </c>
      <c r="X12" s="958" t="s">
        <v>255</v>
      </c>
      <c r="Y12" s="958" t="s">
        <v>256</v>
      </c>
      <c r="Z12" s="413" t="s">
        <v>257</v>
      </c>
      <c r="AA12" s="901" t="s">
        <v>258</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53</v>
      </c>
      <c r="L13" s="414" t="s">
        <v>54</v>
      </c>
      <c r="M13" s="939"/>
      <c r="N13" s="942"/>
      <c r="O13" s="913"/>
      <c r="P13" s="878"/>
      <c r="Q13" s="885"/>
      <c r="R13" s="885"/>
      <c r="S13" s="960" t="s">
        <v>2191</v>
      </c>
      <c r="T13" s="961"/>
      <c r="U13" s="902"/>
      <c r="V13" s="957"/>
      <c r="W13" s="885"/>
      <c r="X13" s="885"/>
      <c r="Y13" s="885"/>
      <c r="Z13" s="415" t="s">
        <v>260</v>
      </c>
      <c r="AA13" s="902"/>
      <c r="AB13" s="949"/>
      <c r="AC13" s="949"/>
      <c r="AD13" s="949"/>
      <c r="AE13" s="952"/>
      <c r="AF13" s="506" t="s">
        <v>261</v>
      </c>
      <c r="AG13" s="507" t="s">
        <v>239</v>
      </c>
      <c r="AH13" s="959"/>
      <c r="AI13" s="411"/>
      <c r="AJ13" s="394"/>
      <c r="AK13" s="394"/>
    </row>
    <row r="14" spans="1:38" s="422" customFormat="1" ht="40.15" customHeight="1">
      <c r="A14" s="416" t="s">
        <v>262</v>
      </c>
      <c r="B14" s="954" t="str">
        <f>IF(基本情報入力シート!C45="","",基本情報入力シート!C45)</f>
        <v>1111111111</v>
      </c>
      <c r="C14" s="955"/>
      <c r="D14" s="955"/>
      <c r="E14" s="955"/>
      <c r="F14" s="955"/>
      <c r="G14" s="955"/>
      <c r="H14" s="955"/>
      <c r="I14" s="956"/>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953">
        <v>0</v>
      </c>
      <c r="T14" s="953"/>
      <c r="U14" s="455" t="s">
        <v>265</v>
      </c>
      <c r="V14" s="461" t="s">
        <v>2184</v>
      </c>
      <c r="W14" s="462">
        <v>57256500</v>
      </c>
      <c r="X14" s="420">
        <f>IFERROR(IF(V14="ー", "", ROUNDDOWN(W14*VLOOKUP(N14,【参考】数式用!$V$2:$AG$51,MATCH(V14,【参考】数式用!$AB$4:$AG$4)+6,FALSE)*0.5, 0)), "")</f>
        <v>16957500</v>
      </c>
      <c r="Y14" s="463" t="s">
        <v>264</v>
      </c>
      <c r="Z14" s="462">
        <v>1</v>
      </c>
      <c r="AA14" s="455" t="s">
        <v>287</v>
      </c>
      <c r="AB14" s="508" t="str">
        <f>VLOOKUP(N14,【参考】数式用!$A$3:$N$58,14,FALSE)</f>
        <v>加算対象</v>
      </c>
      <c r="AC14" s="508" t="str">
        <f>IFERROR(VLOOKUP(N14,【参考】数式用!$A$3:$N$58,14,FALSE),"")&amp;"_4_5"</f>
        <v>加算対象_4_5</v>
      </c>
      <c r="AD14" s="508" t="str">
        <f>IFERROR(VLOOKUP(N14,【参考】数式用!$A$3:$N$58,14,FALSE),"")&amp;"_6"</f>
        <v>加算対象_6</v>
      </c>
      <c r="AE14" s="509" t="str">
        <f>IFERROR(VLOOKUP(N14,【参考】数式用!$AI$5:$AJ$51, 2, FALSE), "")</f>
        <v>対象</v>
      </c>
      <c r="AF14" s="510">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11">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12" t="str">
        <f>IFERROR(VLOOKUP(N14,【参考】数式用!$AM$3:$AN$56, 2, FALSE), "")</f>
        <v>訪問介護R8</v>
      </c>
      <c r="AI14" s="421"/>
      <c r="AK14" s="943"/>
      <c r="AL14" s="943"/>
    </row>
    <row r="15" spans="1:38" ht="40.15" customHeight="1">
      <c r="A15" s="423">
        <v>2</v>
      </c>
      <c r="B15" s="918" t="str">
        <f>IF(基本情報入力シート!C46="","",基本情報入力シート!C46)</f>
        <v>1111111112</v>
      </c>
      <c r="C15" s="919"/>
      <c r="D15" s="919"/>
      <c r="E15" s="919"/>
      <c r="F15" s="919"/>
      <c r="G15" s="919"/>
      <c r="H15" s="919"/>
      <c r="I15" s="920"/>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917">
        <v>0</v>
      </c>
      <c r="T15" s="917"/>
      <c r="U15" s="455" t="s">
        <v>301</v>
      </c>
      <c r="V15" s="464" t="s">
        <v>2193</v>
      </c>
      <c r="W15" s="465">
        <v>30874250</v>
      </c>
      <c r="X15" s="427">
        <f>IFERROR(IF(V15="ー", "", ROUNDDOWN(W15*VLOOKUP(N15,【参考】数式用!$V$2:$AG$51,MATCH(V15,【参考】数式用!$AB$4:$AG$4)+6,FALSE)*0.5, 0)), "")</f>
        <v>10991233</v>
      </c>
      <c r="Y15" s="466" t="s">
        <v>264</v>
      </c>
      <c r="Z15" s="465">
        <v>1</v>
      </c>
      <c r="AA15" s="455" t="s">
        <v>301</v>
      </c>
      <c r="AB15" s="508" t="str">
        <f>VLOOKUP(N15,【参考】数式用!$A$3:$N$58,14,FALSE)</f>
        <v>加算対象</v>
      </c>
      <c r="AC15" s="508" t="str">
        <f>IFERROR(VLOOKUP(N15,【参考】数式用!$A$3:$N$58,14,FALSE),"")&amp;"_4_5"</f>
        <v>加算対象_4_5</v>
      </c>
      <c r="AD15" s="508" t="str">
        <f>IFERROR(VLOOKUP(N15,【参考】数式用!$A$3:$N$58,14,FALSE),"")&amp;"_6"</f>
        <v>加算対象_6</v>
      </c>
      <c r="AE15" s="509" t="str">
        <f>IFERROR(VLOOKUP(N15,【参考】数式用!$AI$5:$AJ$51, 2, FALSE), "")</f>
        <v>対象</v>
      </c>
      <c r="AF15" s="510">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11">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12" t="str">
        <f>IFERROR(VLOOKUP(N15,【参考】数式用!$AM$3:$AN$56, 2, FALSE), "")</f>
        <v>地域密着型通所介護R8</v>
      </c>
      <c r="AI15" s="421"/>
      <c r="AJ15" s="394"/>
      <c r="AK15" s="943"/>
      <c r="AL15" s="943"/>
    </row>
    <row r="16" spans="1:38" ht="40.15" customHeight="1">
      <c r="A16" s="423">
        <v>3</v>
      </c>
      <c r="B16" s="918" t="str">
        <f>IF(基本情報入力シート!C47="","",基本情報入力シート!C47)</f>
        <v>1111111113</v>
      </c>
      <c r="C16" s="919"/>
      <c r="D16" s="919"/>
      <c r="E16" s="919"/>
      <c r="F16" s="919"/>
      <c r="G16" s="919"/>
      <c r="H16" s="919"/>
      <c r="I16" s="920"/>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917"/>
      <c r="T16" s="917"/>
      <c r="U16" s="455" t="s">
        <v>265</v>
      </c>
      <c r="V16" s="464" t="s">
        <v>290</v>
      </c>
      <c r="W16" s="465">
        <v>31082220</v>
      </c>
      <c r="X16" s="427">
        <f>IFERROR(IF(V16="ー", "", ROUNDDOWN(W16*VLOOKUP(N16,【参考】数式用!$V$2:$AG$51,MATCH(V16,【参考】数式用!$AB$4:$AG$4)+6,FALSE)*0.5, 0)), "")</f>
        <v>12751680</v>
      </c>
      <c r="Y16" s="466" t="s">
        <v>264</v>
      </c>
      <c r="Z16" s="465"/>
      <c r="AA16" s="455" t="s">
        <v>333</v>
      </c>
      <c r="AB16" s="508" t="str">
        <f>VLOOKUP(N16,【参考】数式用!$A$3:$N$58,14,FALSE)</f>
        <v>加算対象</v>
      </c>
      <c r="AC16" s="508" t="str">
        <f>IFERROR(VLOOKUP(N16,【参考】数式用!$A$3:$N$58,14,FALSE),"")&amp;"_4_5"</f>
        <v>加算対象_4_5</v>
      </c>
      <c r="AD16" s="508" t="str">
        <f>IFERROR(VLOOKUP(N16,【参考】数式用!$A$3:$N$58,14,FALSE),"")&amp;"_6"</f>
        <v>加算対象_6</v>
      </c>
      <c r="AE16" s="509" t="str">
        <f>IFERROR(VLOOKUP(N16,【参考】数式用!$AI$5:$AJ$51, 2, FALSE), "")</f>
        <v>対象外</v>
      </c>
      <c r="AF16" s="510" t="str">
        <f t="shared" si="0"/>
        <v/>
      </c>
      <c r="AG16" s="511" t="str">
        <f t="shared" si="1"/>
        <v/>
      </c>
      <c r="AH16" s="512" t="str">
        <f>IFERROR(VLOOKUP(N16,【参考】数式用!$AM$3:$AN$56, 2, FALSE), "")</f>
        <v>介護予防小規模多機能型居宅介護_短期利用型_R8</v>
      </c>
      <c r="AI16" s="421"/>
      <c r="AJ16" s="394"/>
      <c r="AK16" s="943"/>
      <c r="AL16" s="943"/>
    </row>
    <row r="17" spans="1:43" ht="40.15" customHeight="1">
      <c r="A17" s="423">
        <v>4</v>
      </c>
      <c r="B17" s="918" t="str">
        <f>IF(基本情報入力シート!C48="","",基本情報入力シート!C48)</f>
        <v>1111111114</v>
      </c>
      <c r="C17" s="919"/>
      <c r="D17" s="919"/>
      <c r="E17" s="919"/>
      <c r="F17" s="919"/>
      <c r="G17" s="919"/>
      <c r="H17" s="919"/>
      <c r="I17" s="920"/>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917"/>
      <c r="T17" s="917"/>
      <c r="U17" s="455" t="s">
        <v>265</v>
      </c>
      <c r="V17" s="464" t="s">
        <v>2177</v>
      </c>
      <c r="W17" s="465">
        <v>10000000</v>
      </c>
      <c r="X17" s="427">
        <f>IFERROR(IF(V17="ー", "", ROUNDDOWN(W17*VLOOKUP(N17,【参考】数式用!$V$2:$AG$51,MATCH(V17,【参考】数式用!$AB$4:$AG$4)+6,FALSE)*0.5, 0)), "")</f>
        <v>5000000</v>
      </c>
      <c r="Y17" s="466" t="s">
        <v>264</v>
      </c>
      <c r="Z17" s="465"/>
      <c r="AA17" s="455" t="s">
        <v>265</v>
      </c>
      <c r="AB17" s="508" t="str">
        <f>VLOOKUP(N17,【参考】数式用!$A$3:$N$58,14,FALSE)</f>
        <v>加算対象</v>
      </c>
      <c r="AC17" s="508" t="str">
        <f>IFERROR(VLOOKUP(N17,【参考】数式用!$A$3:$N$58,14,FALSE),"")&amp;"_4_5"</f>
        <v>加算対象_4_5</v>
      </c>
      <c r="AD17" s="508" t="str">
        <f>IFERROR(VLOOKUP(N17,【参考】数式用!$A$3:$N$58,14,FALSE),"")&amp;"_6"</f>
        <v>加算対象_6</v>
      </c>
      <c r="AE17" s="509" t="str">
        <f>IFERROR(VLOOKUP(N17,【参考】数式用!$AI$5:$AJ$51, 2, FALSE), "")</f>
        <v>対象外</v>
      </c>
      <c r="AF17" s="510" t="str">
        <f t="shared" si="0"/>
        <v/>
      </c>
      <c r="AG17" s="511" t="str">
        <f t="shared" si="1"/>
        <v/>
      </c>
      <c r="AH17" s="512" t="str">
        <f>IFERROR(VLOOKUP(N17,【参考】数式用!$AM$3:$AN$56, 2, FALSE), "")</f>
        <v>訪問型サービス_独自_R8</v>
      </c>
      <c r="AI17" s="421"/>
      <c r="AJ17" s="394"/>
      <c r="AK17" s="943"/>
      <c r="AL17" s="943"/>
    </row>
    <row r="18" spans="1:43" ht="40.15" customHeight="1">
      <c r="A18" s="423">
        <v>5</v>
      </c>
      <c r="B18" s="918" t="str">
        <f>IF(基本情報入力シート!C49="","",基本情報入力シート!C49)</f>
        <v>1111111115</v>
      </c>
      <c r="C18" s="919"/>
      <c r="D18" s="919"/>
      <c r="E18" s="919"/>
      <c r="F18" s="919"/>
      <c r="G18" s="919"/>
      <c r="H18" s="919"/>
      <c r="I18" s="920"/>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917"/>
      <c r="T18" s="917"/>
      <c r="U18" s="455"/>
      <c r="V18" s="464" t="s">
        <v>266</v>
      </c>
      <c r="W18" s="465">
        <v>1924770</v>
      </c>
      <c r="X18" s="427" t="str">
        <f>IFERROR(IF(V18="ー", "", ROUNDDOWN(W18*VLOOKUP(N18,【参考】数式用!$V$2:$AG$51,MATCH(V18,【参考】数式用!$AB$4:$AG$4)+6,FALSE)*0.5, 0)), "")</f>
        <v/>
      </c>
      <c r="Y18" s="466"/>
      <c r="Z18" s="465"/>
      <c r="AA18" s="455" t="s">
        <v>265</v>
      </c>
      <c r="AB18" s="508" t="str">
        <f>VLOOKUP(N18,【参考】数式用!$A$3:$N$58,14,FALSE)</f>
        <v>加算対象外</v>
      </c>
      <c r="AC18" s="508" t="str">
        <f>IFERROR(VLOOKUP(N18,【参考】数式用!$A$3:$N$58,14,FALSE),"")&amp;"_4_5"</f>
        <v>加算対象外_4_5</v>
      </c>
      <c r="AD18" s="508" t="str">
        <f>IFERROR(VLOOKUP(N18,【参考】数式用!$A$3:$N$58,14,FALSE),"")&amp;"_6"</f>
        <v>加算対象外_6</v>
      </c>
      <c r="AE18" s="509" t="str">
        <f>IFERROR(VLOOKUP(N18,【参考】数式用!$AI$5:$AJ$51, 2, FALSE), "")</f>
        <v/>
      </c>
      <c r="AF18" s="510" t="str">
        <f t="shared" si="0"/>
        <v/>
      </c>
      <c r="AG18" s="511" t="str">
        <f t="shared" si="1"/>
        <v/>
      </c>
      <c r="AH18" s="512" t="str">
        <f>IFERROR(VLOOKUP(N18,【参考】数式用!$AM$3:$AN$56, 2, FALSE), "")</f>
        <v>訪問看護R8</v>
      </c>
      <c r="AI18" s="421"/>
      <c r="AJ18" s="394"/>
      <c r="AK18" s="943"/>
      <c r="AL18" s="943"/>
    </row>
    <row r="19" spans="1:43" ht="40.15" customHeight="1">
      <c r="A19" s="423">
        <v>6</v>
      </c>
      <c r="B19" s="918" t="str">
        <f>IF(基本情報入力シート!C50="","",基本情報入力シート!C50)</f>
        <v>1111111116</v>
      </c>
      <c r="C19" s="919"/>
      <c r="D19" s="919"/>
      <c r="E19" s="919"/>
      <c r="F19" s="919"/>
      <c r="G19" s="919"/>
      <c r="H19" s="919"/>
      <c r="I19" s="920"/>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917"/>
      <c r="T19" s="917"/>
      <c r="U19" s="455"/>
      <c r="V19" s="464" t="s">
        <v>266</v>
      </c>
      <c r="W19" s="465">
        <v>180460</v>
      </c>
      <c r="X19" s="427" t="str">
        <f>IFERROR(IF(V19="ー", "", ROUNDDOWN(W19*VLOOKUP(N19,【参考】数式用!$V$2:$AG$51,MATCH(V19,【参考】数式用!$AB$4:$AG$4)+6,FALSE)*0.5, 0)), "")</f>
        <v/>
      </c>
      <c r="Y19" s="466"/>
      <c r="Z19" s="465"/>
      <c r="AA19" s="455" t="s">
        <v>301</v>
      </c>
      <c r="AB19" s="508" t="str">
        <f>VLOOKUP(N19,【参考】数式用!$A$3:$N$58,14,FALSE)</f>
        <v>加算対象外</v>
      </c>
      <c r="AC19" s="508" t="str">
        <f>IFERROR(VLOOKUP(N19,【参考】数式用!$A$3:$N$58,14,FALSE),"")&amp;"_4_5"</f>
        <v>加算対象外_4_5</v>
      </c>
      <c r="AD19" s="508" t="str">
        <f>IFERROR(VLOOKUP(N19,【参考】数式用!$A$3:$N$58,14,FALSE),"")&amp;"_6"</f>
        <v>加算対象外_6</v>
      </c>
      <c r="AE19" s="509" t="str">
        <f>IFERROR(VLOOKUP(N19,【参考】数式用!$AI$5:$AJ$51, 2, FALSE), "")</f>
        <v/>
      </c>
      <c r="AF19" s="510" t="str">
        <f t="shared" si="0"/>
        <v/>
      </c>
      <c r="AG19" s="511" t="str">
        <f t="shared" si="1"/>
        <v/>
      </c>
      <c r="AH19" s="512" t="str">
        <f>IFERROR(VLOOKUP(N19,【参考】数式用!$AM$3:$AN$56, 2, FALSE), "")</f>
        <v>介護予防支援R8</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fnTsh5bV1hLuMGtVuxIed1WLxQd7jRhA4M5HNW+YqsUeU1TWwxXgD+iv3gB6p3YQVtoRKGsPcty04S4/bwdBEQ==" saltValue="ZjO3SbzJg3/qfS0y9w3mW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62" t="s">
        <v>275</v>
      </c>
      <c r="T2" s="963"/>
      <c r="V2" s="978" t="s">
        <v>276</v>
      </c>
      <c r="W2" s="972" t="s">
        <v>277</v>
      </c>
      <c r="X2" s="982" t="s">
        <v>278</v>
      </c>
      <c r="Y2" s="983"/>
      <c r="Z2" s="983"/>
      <c r="AA2" s="983"/>
      <c r="AB2" s="983"/>
      <c r="AC2" s="983"/>
      <c r="AD2" s="983"/>
      <c r="AE2" s="983"/>
      <c r="AF2" s="983"/>
      <c r="AG2" s="984"/>
      <c r="AI2" s="970" t="s">
        <v>276</v>
      </c>
      <c r="AJ2" s="975" t="s">
        <v>279</v>
      </c>
      <c r="AM2" s="478" t="s">
        <v>276</v>
      </c>
      <c r="AN2" s="99" t="s">
        <v>280</v>
      </c>
      <c r="AO2" s="99"/>
      <c r="AP2" s="99"/>
      <c r="AQ2" s="99"/>
      <c r="AR2" s="99"/>
      <c r="AS2" s="100"/>
      <c r="AT2" s="100"/>
      <c r="BE2" s="2"/>
    </row>
    <row r="3" spans="1:57" ht="28.5" customHeight="1" thickBot="1">
      <c r="A3" s="970" t="s">
        <v>276</v>
      </c>
      <c r="B3" s="972" t="s">
        <v>277</v>
      </c>
      <c r="C3" s="965" t="s">
        <v>281</v>
      </c>
      <c r="D3" s="965"/>
      <c r="E3" s="965"/>
      <c r="F3" s="966"/>
      <c r="G3" s="964" t="s">
        <v>282</v>
      </c>
      <c r="H3" s="965"/>
      <c r="I3" s="965"/>
      <c r="J3" s="965"/>
      <c r="K3" s="965"/>
      <c r="L3" s="965"/>
      <c r="M3" s="966"/>
      <c r="N3" s="964" t="s">
        <v>266</v>
      </c>
      <c r="O3" s="968" t="s">
        <v>283</v>
      </c>
      <c r="P3" s="40"/>
      <c r="Q3" s="23"/>
      <c r="R3" s="3"/>
      <c r="S3" s="90" t="s">
        <v>284</v>
      </c>
      <c r="T3" s="91" t="s">
        <v>285</v>
      </c>
      <c r="V3" s="979"/>
      <c r="W3" s="981"/>
      <c r="X3" s="964" t="s">
        <v>281</v>
      </c>
      <c r="Y3" s="965"/>
      <c r="Z3" s="965"/>
      <c r="AA3" s="966"/>
      <c r="AB3" s="964" t="s">
        <v>282</v>
      </c>
      <c r="AC3" s="965"/>
      <c r="AD3" s="965"/>
      <c r="AE3" s="965"/>
      <c r="AF3" s="965"/>
      <c r="AG3" s="966"/>
      <c r="AI3" s="974"/>
      <c r="AJ3" s="976"/>
      <c r="AM3" s="479" t="s">
        <v>286</v>
      </c>
      <c r="AN3" s="102" t="s">
        <v>2212</v>
      </c>
      <c r="AO3" s="47" t="s">
        <v>385</v>
      </c>
      <c r="AP3" s="47" t="s">
        <v>287</v>
      </c>
      <c r="AQ3" s="473" t="s">
        <v>288</v>
      </c>
      <c r="AR3" s="47" t="s">
        <v>265</v>
      </c>
      <c r="AS3" s="119"/>
      <c r="AT3" s="103"/>
      <c r="BE3" s="2"/>
    </row>
    <row r="4" spans="1:57" ht="28.5" customHeight="1" thickBot="1">
      <c r="A4" s="971"/>
      <c r="B4" s="973"/>
      <c r="C4" s="30" t="s">
        <v>263</v>
      </c>
      <c r="D4" s="31" t="s">
        <v>289</v>
      </c>
      <c r="E4" s="31" t="s">
        <v>290</v>
      </c>
      <c r="F4" s="31" t="s">
        <v>291</v>
      </c>
      <c r="G4" s="89" t="s">
        <v>292</v>
      </c>
      <c r="H4" s="31" t="s">
        <v>293</v>
      </c>
      <c r="I4" s="31" t="s">
        <v>294</v>
      </c>
      <c r="J4" s="31" t="s">
        <v>295</v>
      </c>
      <c r="K4" s="31" t="s">
        <v>296</v>
      </c>
      <c r="L4" s="31" t="s">
        <v>297</v>
      </c>
      <c r="M4" s="32" t="s">
        <v>298</v>
      </c>
      <c r="N4" s="967"/>
      <c r="O4" s="969"/>
      <c r="P4" s="40"/>
      <c r="Q4" s="36"/>
      <c r="R4" s="3"/>
      <c r="S4" s="20" t="s">
        <v>105</v>
      </c>
      <c r="T4" s="92" t="s">
        <v>299</v>
      </c>
      <c r="V4" s="980"/>
      <c r="W4" s="973"/>
      <c r="X4" s="30" t="s">
        <v>263</v>
      </c>
      <c r="Y4" s="31" t="s">
        <v>289</v>
      </c>
      <c r="Z4" s="31" t="s">
        <v>290</v>
      </c>
      <c r="AA4" s="31" t="s">
        <v>291</v>
      </c>
      <c r="AB4" s="89" t="s">
        <v>292</v>
      </c>
      <c r="AC4" s="31" t="s">
        <v>293</v>
      </c>
      <c r="AD4" s="31" t="s">
        <v>294</v>
      </c>
      <c r="AE4" s="31" t="s">
        <v>295</v>
      </c>
      <c r="AF4" s="31" t="s">
        <v>296</v>
      </c>
      <c r="AG4" s="32" t="s">
        <v>297</v>
      </c>
      <c r="AI4" s="971"/>
      <c r="AJ4" s="977"/>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62" t="s">
        <v>316</v>
      </c>
      <c r="T9" s="963"/>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